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4172" windowHeight="8364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<sst xmlns="http://schemas.openxmlformats.org/spreadsheetml/2006/main" count="114" uniqueCount="99">
  <si>
    <t>E, V</t>
  </si>
  <si>
    <r>
      <t xml:space="preserve">hőm., 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C</t>
    </r>
  </si>
  <si>
    <r>
      <t xml:space="preserve">hőm., 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K</t>
    </r>
  </si>
  <si>
    <r>
      <t>dE/dT, V/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K</t>
    </r>
  </si>
  <si>
    <r>
      <rPr>
        <sz val="11"/>
        <color indexed="8"/>
        <rFont val="Calibri"/>
        <family val="2"/>
      </rPr>
      <t>Δ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S, J/mol/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K</t>
    </r>
  </si>
  <si>
    <r>
      <t>Δ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>G, kJ/mol</t>
    </r>
  </si>
  <si>
    <r>
      <rPr>
        <sz val="11"/>
        <color indexed="8"/>
        <rFont val="Calibri"/>
        <family val="2"/>
      </rPr>
      <t>Δ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>H, kJ/mol</t>
    </r>
  </si>
  <si>
    <t>G1</t>
  </si>
  <si>
    <t>J hő/ J munka</t>
  </si>
  <si>
    <t>G2</t>
  </si>
  <si>
    <t>G3</t>
  </si>
  <si>
    <t>G4</t>
  </si>
  <si>
    <t>G5</t>
  </si>
  <si>
    <t>G6</t>
  </si>
  <si>
    <r>
      <t>lg(SQRT(p</t>
    </r>
    <r>
      <rPr>
        <vertAlign val="subscript"/>
        <sz val="11"/>
        <color indexed="8"/>
        <rFont val="Calibri"/>
        <family val="2"/>
      </rPr>
      <t>H2</t>
    </r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/p</t>
    </r>
    <r>
      <rPr>
        <vertAlign val="subscript"/>
        <sz val="11"/>
        <color indexed="8"/>
        <rFont val="Calibri"/>
        <family val="2"/>
      </rPr>
      <t>H2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))</t>
    </r>
  </si>
  <si>
    <r>
      <t>p</t>
    </r>
    <r>
      <rPr>
        <vertAlign val="subscript"/>
        <sz val="11"/>
        <color indexed="8"/>
        <rFont val="Calibri"/>
        <family val="2"/>
      </rPr>
      <t>H2</t>
    </r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/p</t>
    </r>
    <r>
      <rPr>
        <vertAlign val="subscript"/>
        <sz val="11"/>
        <color indexed="8"/>
        <rFont val="Calibri"/>
        <family val="2"/>
      </rPr>
      <t>H2</t>
    </r>
    <r>
      <rPr>
        <vertAlign val="superscript"/>
        <sz val="11"/>
        <color indexed="8"/>
        <rFont val="Calibri"/>
        <family val="2"/>
      </rPr>
      <t>A</t>
    </r>
  </si>
  <si>
    <r>
      <t>SQRT(p</t>
    </r>
    <r>
      <rPr>
        <vertAlign val="subscript"/>
        <sz val="11"/>
        <color indexed="8"/>
        <rFont val="Calibri"/>
        <family val="2"/>
      </rPr>
      <t>H2</t>
    </r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/p</t>
    </r>
    <r>
      <rPr>
        <vertAlign val="subscript"/>
        <sz val="11"/>
        <color indexed="8"/>
        <rFont val="Calibri"/>
        <family val="2"/>
      </rPr>
      <t>H2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)</t>
    </r>
  </si>
  <si>
    <r>
      <t>Ha p</t>
    </r>
    <r>
      <rPr>
        <vertAlign val="subscript"/>
        <sz val="11"/>
        <color indexed="8"/>
        <rFont val="Calibri"/>
        <family val="2"/>
      </rPr>
      <t>H2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=100 kPa, akkor p</t>
    </r>
    <r>
      <rPr>
        <vertAlign val="subscript"/>
        <sz val="11"/>
        <color indexed="8"/>
        <rFont val="Calibri"/>
        <family val="2"/>
      </rPr>
      <t>H2</t>
    </r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, MPa</t>
    </r>
  </si>
  <si>
    <r>
      <t>Ha p</t>
    </r>
    <r>
      <rPr>
        <vertAlign val="subscript"/>
        <sz val="11"/>
        <color indexed="8"/>
        <rFont val="Calibri"/>
        <family val="2"/>
      </rPr>
      <t>H2</t>
    </r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=100 kPa, akkor p</t>
    </r>
    <r>
      <rPr>
        <vertAlign val="subscript"/>
        <sz val="11"/>
        <color indexed="8"/>
        <rFont val="Calibri"/>
        <family val="2"/>
      </rPr>
      <t>H2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, kPa</t>
    </r>
  </si>
  <si>
    <t>G7</t>
  </si>
  <si>
    <r>
      <t>E 455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C, V</t>
    </r>
  </si>
  <si>
    <r>
      <t>0,05916/2*lg(L</t>
    </r>
    <r>
      <rPr>
        <vertAlign val="subscript"/>
        <sz val="11"/>
        <color indexed="8"/>
        <rFont val="Calibri"/>
        <family val="2"/>
      </rPr>
      <t>Hg2Cl2</t>
    </r>
    <r>
      <rPr>
        <sz val="11"/>
        <color theme="1"/>
        <rFont val="Calibri"/>
        <family val="2"/>
      </rPr>
      <t>), V</t>
    </r>
  </si>
  <si>
    <r>
      <t>L</t>
    </r>
    <r>
      <rPr>
        <vertAlign val="subscript"/>
        <sz val="11"/>
        <color indexed="8"/>
        <rFont val="Calibri"/>
        <family val="2"/>
      </rPr>
      <t>Hg2Cl2</t>
    </r>
  </si>
  <si>
    <t>G8</t>
  </si>
  <si>
    <r>
      <t>E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, V</t>
    </r>
  </si>
  <si>
    <t>g</t>
  </si>
  <si>
    <r>
      <t>0,05916/2*lg(Cd</t>
    </r>
    <r>
      <rPr>
        <vertAlign val="superscript"/>
        <sz val="11"/>
        <color indexed="8"/>
        <rFont val="Calibri"/>
        <family val="2"/>
      </rPr>
      <t>2+</t>
    </r>
    <r>
      <rPr>
        <sz val="11"/>
        <color theme="1"/>
        <rFont val="Calibri"/>
        <family val="2"/>
      </rPr>
      <t>*(I</t>
    </r>
    <r>
      <rPr>
        <vertAlign val="superscript"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)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</t>
    </r>
    <r>
      <rPr>
        <sz val="11"/>
        <color indexed="8"/>
        <rFont val="Symbol"/>
        <family val="1"/>
      </rPr>
      <t>g</t>
    </r>
    <r>
      <rPr>
        <vertAlign val="superscript"/>
        <sz val="11"/>
        <color indexed="8"/>
        <rFont val="Symbol"/>
        <family val="1"/>
      </rPr>
      <t>3</t>
    </r>
    <r>
      <rPr>
        <sz val="11"/>
        <color theme="1"/>
        <rFont val="Calibri"/>
        <family val="2"/>
      </rPr>
      <t>), V</t>
    </r>
  </si>
  <si>
    <r>
      <t>Cd</t>
    </r>
    <r>
      <rPr>
        <vertAlign val="superscript"/>
        <sz val="11"/>
        <color indexed="8"/>
        <rFont val="Calibri"/>
        <family val="2"/>
      </rPr>
      <t>2+</t>
    </r>
    <r>
      <rPr>
        <sz val="11"/>
        <color theme="1"/>
        <rFont val="Calibri"/>
        <family val="2"/>
      </rPr>
      <t>*(I</t>
    </r>
    <r>
      <rPr>
        <vertAlign val="superscript"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)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</t>
    </r>
    <r>
      <rPr>
        <sz val="11"/>
        <color indexed="8"/>
        <rFont val="Symbol"/>
        <family val="1"/>
      </rPr>
      <t>g</t>
    </r>
    <r>
      <rPr>
        <vertAlign val="superscript"/>
        <sz val="11"/>
        <color indexed="8"/>
        <rFont val="Calibri"/>
        <family val="2"/>
      </rPr>
      <t>3</t>
    </r>
  </si>
  <si>
    <t>G9</t>
  </si>
  <si>
    <r>
      <t>0,05916/2*lg(Sn</t>
    </r>
    <r>
      <rPr>
        <vertAlign val="superscript"/>
        <sz val="11"/>
        <color indexed="8"/>
        <rFont val="Calibri"/>
        <family val="2"/>
      </rPr>
      <t>4+</t>
    </r>
    <r>
      <rPr>
        <sz val="11"/>
        <color theme="1"/>
        <rFont val="Calibri"/>
        <family val="2"/>
      </rPr>
      <t>/Sn</t>
    </r>
    <r>
      <rPr>
        <vertAlign val="superscript"/>
        <sz val="11"/>
        <color indexed="8"/>
        <rFont val="Calibri"/>
        <family val="2"/>
      </rPr>
      <t>2+</t>
    </r>
    <r>
      <rPr>
        <sz val="11"/>
        <color theme="1"/>
        <rFont val="Calibri"/>
        <family val="2"/>
      </rPr>
      <t>), V</t>
    </r>
  </si>
  <si>
    <r>
      <t>Sn</t>
    </r>
    <r>
      <rPr>
        <vertAlign val="superscript"/>
        <sz val="11"/>
        <color indexed="8"/>
        <rFont val="Calibri"/>
        <family val="2"/>
      </rPr>
      <t>4+</t>
    </r>
    <r>
      <rPr>
        <sz val="11"/>
        <color theme="1"/>
        <rFont val="Calibri"/>
        <family val="2"/>
      </rPr>
      <t>/Sn</t>
    </r>
    <r>
      <rPr>
        <vertAlign val="superscript"/>
        <sz val="11"/>
        <color indexed="8"/>
        <rFont val="Calibri"/>
        <family val="2"/>
      </rPr>
      <t>2+</t>
    </r>
  </si>
  <si>
    <r>
      <t>Sn</t>
    </r>
    <r>
      <rPr>
        <vertAlign val="superscript"/>
        <sz val="11"/>
        <color indexed="8"/>
        <rFont val="Calibri"/>
        <family val="2"/>
      </rPr>
      <t>4+</t>
    </r>
    <r>
      <rPr>
        <sz val="11"/>
        <color theme="1"/>
        <rFont val="Calibri"/>
        <family val="2"/>
      </rPr>
      <t>/összes Sn</t>
    </r>
  </si>
  <si>
    <t>G10</t>
  </si>
  <si>
    <r>
      <t>0,05916/2*lg(L</t>
    </r>
    <r>
      <rPr>
        <vertAlign val="subscript"/>
        <sz val="11"/>
        <color indexed="8"/>
        <rFont val="Calibri"/>
        <family val="2"/>
      </rPr>
      <t>PbSO4</t>
    </r>
    <r>
      <rPr>
        <sz val="11"/>
        <color theme="1"/>
        <rFont val="Calibri"/>
        <family val="2"/>
      </rPr>
      <t>), V</t>
    </r>
  </si>
  <si>
    <r>
      <t>L</t>
    </r>
    <r>
      <rPr>
        <vertAlign val="subscript"/>
        <sz val="11"/>
        <color indexed="8"/>
        <rFont val="Calibri"/>
        <family val="2"/>
      </rPr>
      <t>PbSO4</t>
    </r>
  </si>
  <si>
    <t>G11</t>
  </si>
  <si>
    <r>
      <t>H</t>
    </r>
    <r>
      <rPr>
        <vertAlign val="superscript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*Cl</t>
    </r>
    <r>
      <rPr>
        <vertAlign val="superscript"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*</t>
    </r>
    <r>
      <rPr>
        <sz val="11"/>
        <color indexed="8"/>
        <rFont val="Symbol"/>
        <family val="1"/>
      </rPr>
      <t>g</t>
    </r>
    <r>
      <rPr>
        <vertAlign val="superscript"/>
        <sz val="11"/>
        <color indexed="8"/>
        <rFont val="Calibri"/>
        <family val="2"/>
      </rPr>
      <t>2</t>
    </r>
  </si>
  <si>
    <r>
      <t>0,05916*lg(H</t>
    </r>
    <r>
      <rPr>
        <vertAlign val="superscript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*Cl</t>
    </r>
    <r>
      <rPr>
        <vertAlign val="superscript"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*</t>
    </r>
    <r>
      <rPr>
        <sz val="11"/>
        <color indexed="8"/>
        <rFont val="Symbol"/>
        <family val="1"/>
      </rPr>
      <t>g</t>
    </r>
    <r>
      <rPr>
        <vertAlign val="superscript"/>
        <sz val="11"/>
        <color indexed="8"/>
        <rFont val="Symbol"/>
        <family val="1"/>
      </rPr>
      <t>2</t>
    </r>
    <r>
      <rPr>
        <sz val="11"/>
        <color theme="1"/>
        <rFont val="Calibri"/>
        <family val="2"/>
      </rPr>
      <t>), V</t>
    </r>
  </si>
  <si>
    <t>G12</t>
  </si>
  <si>
    <r>
      <t>0,05916*lg((Mn</t>
    </r>
    <r>
      <rPr>
        <vertAlign val="superscript"/>
        <sz val="11"/>
        <color indexed="8"/>
        <rFont val="Calibri"/>
        <family val="2"/>
      </rPr>
      <t>3+</t>
    </r>
    <r>
      <rPr>
        <sz val="11"/>
        <color theme="1"/>
        <rFont val="Calibri"/>
        <family val="2"/>
      </rPr>
      <t>*Ce</t>
    </r>
    <r>
      <rPr>
        <vertAlign val="superscript"/>
        <sz val="11"/>
        <color indexed="8"/>
        <rFont val="Calibri"/>
        <family val="2"/>
      </rPr>
      <t>3+</t>
    </r>
    <r>
      <rPr>
        <sz val="11"/>
        <color theme="1"/>
        <rFont val="Calibri"/>
        <family val="2"/>
      </rPr>
      <t>)/(Mn</t>
    </r>
    <r>
      <rPr>
        <vertAlign val="superscript"/>
        <sz val="11"/>
        <color indexed="8"/>
        <rFont val="Calibri"/>
        <family val="2"/>
      </rPr>
      <t>2+</t>
    </r>
    <r>
      <rPr>
        <sz val="11"/>
        <color theme="1"/>
        <rFont val="Calibri"/>
        <family val="2"/>
      </rPr>
      <t>*Ce</t>
    </r>
    <r>
      <rPr>
        <vertAlign val="superscript"/>
        <sz val="11"/>
        <color indexed="8"/>
        <rFont val="Calibri"/>
        <family val="2"/>
      </rPr>
      <t>4+</t>
    </r>
    <r>
      <rPr>
        <sz val="11"/>
        <color theme="1"/>
        <rFont val="Calibri"/>
        <family val="2"/>
      </rPr>
      <t>))</t>
    </r>
  </si>
  <si>
    <r>
      <t>(Mn</t>
    </r>
    <r>
      <rPr>
        <vertAlign val="superscript"/>
        <sz val="11"/>
        <color indexed="8"/>
        <rFont val="Calibri"/>
        <family val="2"/>
      </rPr>
      <t>3+</t>
    </r>
    <r>
      <rPr>
        <sz val="11"/>
        <color theme="1"/>
        <rFont val="Calibri"/>
        <family val="2"/>
      </rPr>
      <t>*Ce</t>
    </r>
    <r>
      <rPr>
        <vertAlign val="superscript"/>
        <sz val="11"/>
        <color indexed="8"/>
        <rFont val="Calibri"/>
        <family val="2"/>
      </rPr>
      <t>3+</t>
    </r>
    <r>
      <rPr>
        <sz val="11"/>
        <color theme="1"/>
        <rFont val="Calibri"/>
        <family val="2"/>
      </rPr>
      <t>)/(Mn</t>
    </r>
    <r>
      <rPr>
        <vertAlign val="superscript"/>
        <sz val="11"/>
        <color indexed="8"/>
        <rFont val="Calibri"/>
        <family val="2"/>
      </rPr>
      <t>2+</t>
    </r>
    <r>
      <rPr>
        <sz val="11"/>
        <color theme="1"/>
        <rFont val="Calibri"/>
        <family val="2"/>
      </rPr>
      <t>*Ce</t>
    </r>
    <r>
      <rPr>
        <vertAlign val="superscript"/>
        <sz val="11"/>
        <color indexed="8"/>
        <rFont val="Calibri"/>
        <family val="2"/>
      </rPr>
      <t>4+</t>
    </r>
    <r>
      <rPr>
        <sz val="11"/>
        <color theme="1"/>
        <rFont val="Calibri"/>
        <family val="2"/>
      </rPr>
      <t>)</t>
    </r>
  </si>
  <si>
    <r>
      <t>Ce</t>
    </r>
    <r>
      <rPr>
        <vertAlign val="superscript"/>
        <sz val="11"/>
        <color indexed="8"/>
        <rFont val="Calibri"/>
        <family val="2"/>
      </rPr>
      <t>4+</t>
    </r>
    <r>
      <rPr>
        <sz val="11"/>
        <color theme="1"/>
        <rFont val="Calibri"/>
        <family val="2"/>
      </rPr>
      <t xml:space="preserve"> + Mn</t>
    </r>
    <r>
      <rPr>
        <vertAlign val="superscript"/>
        <sz val="11"/>
        <color indexed="8"/>
        <rFont val="Calibri"/>
        <family val="2"/>
      </rPr>
      <t>2+</t>
    </r>
    <r>
      <rPr>
        <sz val="11"/>
        <color theme="1"/>
        <rFont val="Calibri"/>
        <family val="2"/>
      </rPr>
      <t xml:space="preserve"> </t>
    </r>
    <r>
      <rPr>
        <sz val="11"/>
        <color indexed="8"/>
        <rFont val="Times New Roman"/>
        <family val="1"/>
      </rPr>
      <t>→</t>
    </r>
    <r>
      <rPr>
        <sz val="11"/>
        <color indexed="8"/>
        <rFont val="Calibri"/>
        <family val="2"/>
      </rPr>
      <t xml:space="preserve"> Ce</t>
    </r>
    <r>
      <rPr>
        <vertAlign val="superscript"/>
        <sz val="11"/>
        <color indexed="8"/>
        <rFont val="Calibri"/>
        <family val="2"/>
      </rPr>
      <t>3+</t>
    </r>
    <r>
      <rPr>
        <sz val="11"/>
        <color indexed="8"/>
        <rFont val="Calibri"/>
        <family val="2"/>
      </rPr>
      <t xml:space="preserve"> + Mn</t>
    </r>
    <r>
      <rPr>
        <vertAlign val="superscript"/>
        <sz val="11"/>
        <color indexed="8"/>
        <rFont val="Calibri"/>
        <family val="2"/>
      </rPr>
      <t>3+</t>
    </r>
  </si>
  <si>
    <t>(1+x)^2/(1-x)^2</t>
  </si>
  <si>
    <t>(1+x)/(1-x)</t>
  </si>
  <si>
    <t>x</t>
  </si>
  <si>
    <t>E1</t>
  </si>
  <si>
    <t>E2</t>
  </si>
  <si>
    <t>E3</t>
  </si>
  <si>
    <t>E4</t>
  </si>
  <si>
    <r>
      <t>K</t>
    </r>
    <r>
      <rPr>
        <vertAlign val="subscript"/>
        <sz val="11"/>
        <color indexed="8"/>
        <rFont val="Calibri"/>
        <family val="2"/>
      </rPr>
      <t>cella</t>
    </r>
    <r>
      <rPr>
        <sz val="11"/>
        <color theme="1"/>
        <rFont val="Calibri"/>
        <family val="2"/>
      </rPr>
      <t>, 1/m</t>
    </r>
  </si>
  <si>
    <t>Fe(OH2)-vel mért G, S</t>
  </si>
  <si>
    <t>Vízzel mért G, S</t>
  </si>
  <si>
    <r>
      <t>G</t>
    </r>
    <r>
      <rPr>
        <vertAlign val="subscript"/>
        <sz val="11"/>
        <color indexed="8"/>
        <rFont val="Calibri"/>
        <family val="2"/>
      </rPr>
      <t>Fe(OH)2</t>
    </r>
  </si>
  <si>
    <r>
      <rPr>
        <sz val="11"/>
        <color indexed="8"/>
        <rFont val="Symbol"/>
        <family val="1"/>
      </rPr>
      <t>k</t>
    </r>
    <r>
      <rPr>
        <vertAlign val="subscript"/>
        <sz val="11"/>
        <color indexed="8"/>
        <rFont val="Calibri"/>
        <family val="2"/>
      </rPr>
      <t>Fe(OH)2</t>
    </r>
    <r>
      <rPr>
        <sz val="11"/>
        <color theme="1"/>
        <rFont val="Calibri"/>
        <family val="2"/>
      </rPr>
      <t>, S/m</t>
    </r>
  </si>
  <si>
    <r>
      <t>L</t>
    </r>
    <r>
      <rPr>
        <vertAlign val="subscript"/>
        <sz val="11"/>
        <color indexed="8"/>
        <rFont val="Calibri"/>
        <family val="2"/>
      </rPr>
      <t>Fe(OH)2</t>
    </r>
  </si>
  <si>
    <r>
      <rPr>
        <sz val="11"/>
        <color indexed="8"/>
        <rFont val="Symbol"/>
        <family val="1"/>
      </rPr>
      <t>e</t>
    </r>
    <r>
      <rPr>
        <vertAlign val="subscript"/>
        <sz val="11"/>
        <color indexed="8"/>
        <rFont val="Calibri"/>
        <family val="2"/>
      </rPr>
      <t>Pb/Pb2+</t>
    </r>
    <r>
      <rPr>
        <sz val="11"/>
        <color theme="1"/>
        <rFont val="Calibri"/>
        <family val="2"/>
      </rPr>
      <t>, V</t>
    </r>
  </si>
  <si>
    <r>
      <rPr>
        <sz val="11"/>
        <color indexed="8"/>
        <rFont val="Symbol"/>
        <family val="1"/>
      </rPr>
      <t>e</t>
    </r>
    <r>
      <rPr>
        <vertAlign val="subscript"/>
        <sz val="11"/>
        <color indexed="8"/>
        <rFont val="Calibri"/>
        <family val="2"/>
      </rPr>
      <t>Sn/Sn2+</t>
    </r>
    <r>
      <rPr>
        <sz val="11"/>
        <color theme="1"/>
        <rFont val="Calibri"/>
        <family val="2"/>
      </rPr>
      <t>, V</t>
    </r>
  </si>
  <si>
    <r>
      <rPr>
        <sz val="11"/>
        <color indexed="8"/>
        <rFont val="Symbol"/>
        <family val="1"/>
      </rPr>
      <t>e</t>
    </r>
    <r>
      <rPr>
        <vertAlign val="subscript"/>
        <sz val="11"/>
        <color indexed="8"/>
        <rFont val="Calibri"/>
        <family val="2"/>
      </rPr>
      <t>Cu/Cu2+</t>
    </r>
    <r>
      <rPr>
        <sz val="11"/>
        <color theme="1"/>
        <rFont val="Calibri"/>
        <family val="2"/>
      </rPr>
      <t>, V</t>
    </r>
  </si>
  <si>
    <r>
      <rPr>
        <sz val="11"/>
        <color indexed="8"/>
        <rFont val="Symbol"/>
        <family val="1"/>
      </rPr>
      <t>e</t>
    </r>
    <r>
      <rPr>
        <sz val="11"/>
        <color theme="1"/>
        <rFont val="Calibri"/>
        <family val="2"/>
      </rPr>
      <t xml:space="preserve"> hiba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=1-hez képest, mV</t>
    </r>
  </si>
  <si>
    <r>
      <t>E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= </t>
    </r>
    <r>
      <rPr>
        <sz val="11"/>
        <color indexed="8"/>
        <rFont val="Symbol"/>
        <family val="1"/>
      </rPr>
      <t>e</t>
    </r>
    <r>
      <rPr>
        <vertAlign val="superscript"/>
        <sz val="11"/>
        <color indexed="8"/>
        <rFont val="Calibri"/>
        <family val="2"/>
      </rPr>
      <t>0</t>
    </r>
    <r>
      <rPr>
        <vertAlign val="subscript"/>
        <sz val="11"/>
        <color indexed="8"/>
        <rFont val="Calibri"/>
        <family val="2"/>
      </rPr>
      <t>Pb/Pb2+</t>
    </r>
    <r>
      <rPr>
        <sz val="11"/>
        <color theme="1"/>
        <rFont val="Calibri"/>
        <family val="2"/>
      </rPr>
      <t xml:space="preserve"> - </t>
    </r>
    <r>
      <rPr>
        <sz val="11"/>
        <color indexed="8"/>
        <rFont val="Symbol"/>
        <family val="1"/>
      </rPr>
      <t>e</t>
    </r>
    <r>
      <rPr>
        <vertAlign val="superscript"/>
        <sz val="11"/>
        <color indexed="8"/>
        <rFont val="Calibri"/>
        <family val="2"/>
      </rPr>
      <t>0</t>
    </r>
    <r>
      <rPr>
        <vertAlign val="subscript"/>
        <sz val="11"/>
        <color indexed="8"/>
        <rFont val="Calibri"/>
        <family val="2"/>
      </rPr>
      <t>Sn/Sn2+</t>
    </r>
    <r>
      <rPr>
        <sz val="11"/>
        <color theme="1"/>
        <rFont val="Calibri"/>
        <family val="2"/>
      </rPr>
      <t xml:space="preserve"> = RT/(zF)*lnK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, V</t>
    </r>
  </si>
  <si>
    <r>
      <t>K</t>
    </r>
    <r>
      <rPr>
        <vertAlign val="subscript"/>
        <sz val="11"/>
        <color indexed="8"/>
        <rFont val="Calibri"/>
        <family val="2"/>
      </rPr>
      <t>a</t>
    </r>
  </si>
  <si>
    <r>
      <rPr>
        <sz val="11"/>
        <color indexed="8"/>
        <rFont val="Symbol"/>
        <family val="1"/>
      </rPr>
      <t>e</t>
    </r>
    <r>
      <rPr>
        <vertAlign val="superscript"/>
        <sz val="11"/>
        <color indexed="8"/>
        <rFont val="Calibri"/>
        <family val="2"/>
      </rPr>
      <t>0</t>
    </r>
    <r>
      <rPr>
        <vertAlign val="subscript"/>
        <sz val="11"/>
        <color indexed="8"/>
        <rFont val="Calibri"/>
        <family val="2"/>
      </rPr>
      <t>Hg2(2+)</t>
    </r>
    <r>
      <rPr>
        <sz val="11"/>
        <color theme="1"/>
        <rFont val="Calibri"/>
        <family val="2"/>
      </rPr>
      <t>, V</t>
    </r>
  </si>
  <si>
    <r>
      <rPr>
        <sz val="11"/>
        <color indexed="8"/>
        <rFont val="Symbol"/>
        <family val="1"/>
      </rPr>
      <t>e</t>
    </r>
    <r>
      <rPr>
        <vertAlign val="superscript"/>
        <sz val="11"/>
        <color indexed="8"/>
        <rFont val="Calibri"/>
        <family val="2"/>
      </rPr>
      <t>0</t>
    </r>
    <r>
      <rPr>
        <vertAlign val="subscript"/>
        <sz val="11"/>
        <color indexed="8"/>
        <rFont val="Calibri"/>
        <family val="2"/>
      </rPr>
      <t>Hg2Cl2</t>
    </r>
    <r>
      <rPr>
        <sz val="11"/>
        <color theme="1"/>
        <rFont val="Calibri"/>
        <family val="2"/>
      </rPr>
      <t xml:space="preserve"> , V</t>
    </r>
  </si>
  <si>
    <r>
      <t xml:space="preserve">E = </t>
    </r>
    <r>
      <rPr>
        <sz val="11"/>
        <color indexed="8"/>
        <rFont val="Symbol"/>
        <family val="1"/>
      </rPr>
      <t>e</t>
    </r>
    <r>
      <rPr>
        <vertAlign val="subscript"/>
        <sz val="11"/>
        <color indexed="8"/>
        <rFont val="Calibri"/>
        <family val="2"/>
      </rPr>
      <t>tel.kalomel</t>
    </r>
    <r>
      <rPr>
        <sz val="11"/>
        <color theme="1"/>
        <rFont val="Calibri"/>
        <family val="2"/>
      </rPr>
      <t xml:space="preserve"> - </t>
    </r>
    <r>
      <rPr>
        <sz val="11"/>
        <color indexed="8"/>
        <rFont val="Symbol"/>
        <family val="1"/>
      </rPr>
      <t>e</t>
    </r>
    <r>
      <rPr>
        <vertAlign val="subscript"/>
        <sz val="11"/>
        <color indexed="8"/>
        <rFont val="Calibri"/>
        <family val="2"/>
      </rPr>
      <t>Sn2+/Sn4+</t>
    </r>
    <r>
      <rPr>
        <sz val="11"/>
        <color theme="1"/>
        <rFont val="Calibri"/>
        <family val="2"/>
      </rPr>
      <t>, V</t>
    </r>
  </si>
  <si>
    <r>
      <rPr>
        <sz val="11"/>
        <color indexed="8"/>
        <rFont val="Symbol"/>
        <family val="1"/>
      </rPr>
      <t>e</t>
    </r>
    <r>
      <rPr>
        <vertAlign val="subscript"/>
        <sz val="11"/>
        <color indexed="8"/>
        <rFont val="Calibri"/>
        <family val="2"/>
      </rPr>
      <t>tel.kalomel</t>
    </r>
    <r>
      <rPr>
        <sz val="11"/>
        <color theme="1"/>
        <rFont val="Calibri"/>
        <family val="2"/>
      </rPr>
      <t>, V</t>
    </r>
  </si>
  <si>
    <r>
      <rPr>
        <sz val="11"/>
        <color indexed="8"/>
        <rFont val="Symbol"/>
        <family val="1"/>
      </rPr>
      <t>e</t>
    </r>
    <r>
      <rPr>
        <vertAlign val="subscript"/>
        <sz val="11"/>
        <color indexed="8"/>
        <rFont val="Calibri"/>
        <family val="2"/>
      </rPr>
      <t>Sn2+/Sn4+</t>
    </r>
    <r>
      <rPr>
        <sz val="11"/>
        <color theme="1"/>
        <rFont val="Calibri"/>
        <family val="2"/>
      </rPr>
      <t>, V</t>
    </r>
  </si>
  <si>
    <r>
      <rPr>
        <sz val="11"/>
        <color indexed="8"/>
        <rFont val="Symbol"/>
        <family val="1"/>
      </rPr>
      <t>e</t>
    </r>
    <r>
      <rPr>
        <vertAlign val="superscript"/>
        <sz val="11"/>
        <color indexed="8"/>
        <rFont val="Calibri"/>
        <family val="2"/>
      </rPr>
      <t>0</t>
    </r>
    <r>
      <rPr>
        <vertAlign val="subscript"/>
        <sz val="11"/>
        <color indexed="8"/>
        <rFont val="Calibri"/>
        <family val="2"/>
      </rPr>
      <t>Sn2+/Sn4+</t>
    </r>
    <r>
      <rPr>
        <sz val="11"/>
        <color theme="1"/>
        <rFont val="Calibri"/>
        <family val="2"/>
      </rPr>
      <t>, V</t>
    </r>
  </si>
  <si>
    <r>
      <rPr>
        <sz val="11"/>
        <color indexed="8"/>
        <rFont val="Symbol"/>
        <family val="1"/>
      </rPr>
      <t>e</t>
    </r>
    <r>
      <rPr>
        <vertAlign val="superscript"/>
        <sz val="11"/>
        <color indexed="8"/>
        <rFont val="Calibri"/>
        <family val="2"/>
      </rPr>
      <t>0</t>
    </r>
    <r>
      <rPr>
        <vertAlign val="subscript"/>
        <sz val="11"/>
        <color indexed="8"/>
        <rFont val="Calibri"/>
        <family val="2"/>
      </rPr>
      <t>Pb/</t>
    </r>
    <r>
      <rPr>
        <vertAlign val="subscript"/>
        <sz val="11"/>
        <color indexed="8"/>
        <rFont val="Calibri"/>
        <family val="2"/>
      </rPr>
      <t>Pb2+</t>
    </r>
    <r>
      <rPr>
        <sz val="11"/>
        <color theme="1"/>
        <rFont val="Calibri"/>
        <family val="2"/>
      </rPr>
      <t>, V</t>
    </r>
  </si>
  <si>
    <r>
      <rPr>
        <sz val="11"/>
        <color indexed="8"/>
        <rFont val="Symbol"/>
        <family val="1"/>
      </rPr>
      <t>e</t>
    </r>
    <r>
      <rPr>
        <vertAlign val="superscript"/>
        <sz val="11"/>
        <color indexed="8"/>
        <rFont val="Calibri"/>
        <family val="2"/>
      </rPr>
      <t>0</t>
    </r>
    <r>
      <rPr>
        <vertAlign val="subscript"/>
        <sz val="11"/>
        <color indexed="8"/>
        <rFont val="Calibri"/>
        <family val="2"/>
      </rPr>
      <t>Pb+SO42-/PbSO4</t>
    </r>
    <r>
      <rPr>
        <sz val="11"/>
        <color theme="1"/>
        <rFont val="Calibri"/>
        <family val="2"/>
      </rPr>
      <t xml:space="preserve"> , V</t>
    </r>
  </si>
  <si>
    <r>
      <t xml:space="preserve">Egyensúlyban E= 0V, </t>
    </r>
    <r>
      <rPr>
        <sz val="11"/>
        <color indexed="8"/>
        <rFont val="Symbol"/>
        <family val="1"/>
      </rPr>
      <t>e</t>
    </r>
    <r>
      <rPr>
        <vertAlign val="subscript"/>
        <sz val="11"/>
        <color indexed="8"/>
        <rFont val="Calibri"/>
        <family val="2"/>
      </rPr>
      <t>Ce3+/Ce4+</t>
    </r>
    <r>
      <rPr>
        <sz val="11"/>
        <color theme="1"/>
        <rFont val="Calibri"/>
        <family val="2"/>
      </rPr>
      <t xml:space="preserve"> = </t>
    </r>
    <r>
      <rPr>
        <sz val="11"/>
        <color indexed="8"/>
        <rFont val="Symbol"/>
        <family val="1"/>
      </rPr>
      <t>e</t>
    </r>
    <r>
      <rPr>
        <vertAlign val="subscript"/>
        <sz val="11"/>
        <color indexed="8"/>
        <rFont val="Calibri"/>
        <family val="2"/>
      </rPr>
      <t>Mn2+/Mn3+</t>
    </r>
  </si>
  <si>
    <r>
      <rPr>
        <sz val="11"/>
        <color indexed="8"/>
        <rFont val="Symbol"/>
        <family val="1"/>
      </rPr>
      <t>e</t>
    </r>
    <r>
      <rPr>
        <vertAlign val="superscript"/>
        <sz val="11"/>
        <color indexed="8"/>
        <rFont val="Calibri"/>
        <family val="2"/>
      </rPr>
      <t>0</t>
    </r>
    <r>
      <rPr>
        <vertAlign val="subscript"/>
        <sz val="11"/>
        <color indexed="8"/>
        <rFont val="Calibri"/>
        <family val="2"/>
      </rPr>
      <t>Ce3+/Ce4+</t>
    </r>
    <r>
      <rPr>
        <sz val="11"/>
        <color theme="1"/>
        <rFont val="Calibri"/>
        <family val="2"/>
      </rPr>
      <t>, V</t>
    </r>
  </si>
  <si>
    <r>
      <rPr>
        <sz val="11"/>
        <color indexed="8"/>
        <rFont val="Symbol"/>
        <family val="1"/>
      </rPr>
      <t>e</t>
    </r>
    <r>
      <rPr>
        <vertAlign val="superscript"/>
        <sz val="11"/>
        <color indexed="8"/>
        <rFont val="Calibri"/>
        <family val="2"/>
      </rPr>
      <t>0</t>
    </r>
    <r>
      <rPr>
        <vertAlign val="subscript"/>
        <sz val="11"/>
        <color indexed="8"/>
        <rFont val="Calibri"/>
        <family val="2"/>
      </rPr>
      <t>Mn2+/Mn3+</t>
    </r>
    <r>
      <rPr>
        <sz val="11"/>
        <color theme="1"/>
        <rFont val="Calibri"/>
        <family val="2"/>
      </rPr>
      <t>, V</t>
    </r>
  </si>
  <si>
    <r>
      <rPr>
        <sz val="11"/>
        <color indexed="8"/>
        <rFont val="Symbol"/>
        <family val="1"/>
      </rPr>
      <t>e</t>
    </r>
    <r>
      <rPr>
        <vertAlign val="superscript"/>
        <sz val="11"/>
        <color indexed="8"/>
        <rFont val="Calibri"/>
        <family val="2"/>
      </rPr>
      <t>0</t>
    </r>
    <r>
      <rPr>
        <vertAlign val="subscript"/>
        <sz val="11"/>
        <color indexed="8"/>
        <rFont val="Calibri"/>
        <family val="2"/>
      </rPr>
      <t>Ag+Cl/AgCl</t>
    </r>
    <r>
      <rPr>
        <sz val="11"/>
        <color theme="1"/>
        <rFont val="Calibri"/>
        <family val="2"/>
      </rPr>
      <t>, V</t>
    </r>
  </si>
  <si>
    <r>
      <t>Cl</t>
    </r>
    <r>
      <rPr>
        <vertAlign val="superscript"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, mol/dm</t>
    </r>
    <r>
      <rPr>
        <vertAlign val="superscript"/>
        <sz val="11"/>
        <color indexed="8"/>
        <rFont val="Calibri"/>
        <family val="2"/>
      </rPr>
      <t>3</t>
    </r>
  </si>
  <si>
    <r>
      <t>H</t>
    </r>
    <r>
      <rPr>
        <vertAlign val="superscript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, mol/dm</t>
    </r>
    <r>
      <rPr>
        <vertAlign val="superscript"/>
        <sz val="11"/>
        <color indexed="8"/>
        <rFont val="Calibri"/>
        <family val="2"/>
      </rPr>
      <t>3</t>
    </r>
  </si>
  <si>
    <r>
      <t>I</t>
    </r>
    <r>
      <rPr>
        <vertAlign val="superscript"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, mol/dm</t>
    </r>
    <r>
      <rPr>
        <vertAlign val="superscript"/>
        <sz val="11"/>
        <color indexed="8"/>
        <rFont val="Calibri"/>
        <family val="2"/>
      </rPr>
      <t>3</t>
    </r>
  </si>
  <si>
    <r>
      <t>Cd</t>
    </r>
    <r>
      <rPr>
        <vertAlign val="superscript"/>
        <sz val="11"/>
        <color indexed="8"/>
        <rFont val="Calibri"/>
        <family val="2"/>
      </rPr>
      <t>2+</t>
    </r>
    <r>
      <rPr>
        <sz val="11"/>
        <color theme="1"/>
        <rFont val="Calibri"/>
        <family val="2"/>
      </rPr>
      <t>, mol/dm</t>
    </r>
    <r>
      <rPr>
        <vertAlign val="superscript"/>
        <sz val="11"/>
        <color indexed="8"/>
        <rFont val="Calibri"/>
        <family val="2"/>
      </rPr>
      <t>3</t>
    </r>
  </si>
  <si>
    <r>
      <t>Na</t>
    </r>
    <r>
      <rPr>
        <vertAlign val="superscript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, mol/dm</t>
    </r>
    <r>
      <rPr>
        <vertAlign val="superscript"/>
        <sz val="11"/>
        <color indexed="8"/>
        <rFont val="Calibri"/>
        <family val="2"/>
      </rPr>
      <t>3</t>
    </r>
  </si>
  <si>
    <r>
      <rPr>
        <sz val="11"/>
        <color indexed="8"/>
        <rFont val="Symbol"/>
        <family val="1"/>
      </rPr>
      <t>L</t>
    </r>
    <r>
      <rPr>
        <vertAlign val="superscript"/>
        <sz val="11"/>
        <color indexed="8"/>
        <rFont val="Symbol"/>
        <family val="1"/>
      </rPr>
      <t>¥</t>
    </r>
    <r>
      <rPr>
        <vertAlign val="subscript"/>
        <sz val="11"/>
        <color indexed="8"/>
        <rFont val="Calibri"/>
        <family val="2"/>
      </rPr>
      <t>Fe(OH)2</t>
    </r>
    <r>
      <rPr>
        <sz val="11"/>
        <color indexed="8"/>
        <rFont val="Calibri"/>
        <family val="2"/>
      </rPr>
      <t>, Sm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/mol</t>
    </r>
  </si>
  <si>
    <r>
      <t>c</t>
    </r>
    <r>
      <rPr>
        <vertAlign val="subscript"/>
        <sz val="11"/>
        <color indexed="8"/>
        <rFont val="Calibri"/>
        <family val="2"/>
      </rPr>
      <t>Fe(OH)2</t>
    </r>
    <r>
      <rPr>
        <sz val="11"/>
        <color indexed="8"/>
        <rFont val="Calibri"/>
        <family val="2"/>
      </rPr>
      <t>, mol/dm</t>
    </r>
    <r>
      <rPr>
        <vertAlign val="superscript"/>
        <sz val="11"/>
        <color indexed="8"/>
        <rFont val="Calibri"/>
        <family val="2"/>
      </rPr>
      <t>3</t>
    </r>
  </si>
  <si>
    <r>
      <t>c</t>
    </r>
    <r>
      <rPr>
        <vertAlign val="subscript"/>
        <sz val="11"/>
        <color indexed="8"/>
        <rFont val="Calibri"/>
        <family val="2"/>
      </rPr>
      <t>CaCl2</t>
    </r>
    <r>
      <rPr>
        <sz val="11"/>
        <color theme="1"/>
        <rFont val="Calibri"/>
        <family val="2"/>
      </rPr>
      <t>, mol/dm</t>
    </r>
    <r>
      <rPr>
        <vertAlign val="superscript"/>
        <sz val="11"/>
        <color indexed="8"/>
        <rFont val="Calibri"/>
        <family val="2"/>
      </rPr>
      <t>3</t>
    </r>
  </si>
  <si>
    <r>
      <rPr>
        <sz val="11"/>
        <color indexed="8"/>
        <rFont val="Symbol"/>
        <family val="1"/>
      </rPr>
      <t>l</t>
    </r>
    <r>
      <rPr>
        <vertAlign val="subscript"/>
        <sz val="11"/>
        <color indexed="8"/>
        <rFont val="Calibri"/>
        <family val="2"/>
      </rPr>
      <t>1/2Ca2+</t>
    </r>
    <r>
      <rPr>
        <sz val="11"/>
        <color theme="1"/>
        <rFont val="Calibri"/>
        <family val="2"/>
      </rPr>
      <t>, Sm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/mol</t>
    </r>
  </si>
  <si>
    <r>
      <rPr>
        <sz val="11"/>
        <color indexed="8"/>
        <rFont val="Symbol"/>
        <family val="1"/>
      </rPr>
      <t>l</t>
    </r>
    <r>
      <rPr>
        <vertAlign val="subscript"/>
        <sz val="11"/>
        <color indexed="8"/>
        <rFont val="Calibri"/>
        <family val="2"/>
      </rPr>
      <t>Cl-</t>
    </r>
    <r>
      <rPr>
        <sz val="11"/>
        <color theme="1"/>
        <rFont val="Calibri"/>
        <family val="2"/>
      </rPr>
      <t>, Sm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/mol</t>
    </r>
  </si>
  <si>
    <r>
      <t>SQRT( c), mol</t>
    </r>
    <r>
      <rPr>
        <vertAlign val="superscript"/>
        <sz val="11"/>
        <color indexed="8"/>
        <rFont val="Calibri"/>
        <family val="2"/>
      </rPr>
      <t>1/2</t>
    </r>
    <r>
      <rPr>
        <sz val="11"/>
        <color theme="1"/>
        <rFont val="Calibri"/>
        <family val="2"/>
      </rPr>
      <t>/dm</t>
    </r>
    <r>
      <rPr>
        <vertAlign val="superscript"/>
        <sz val="11"/>
        <color indexed="8"/>
        <rFont val="Calibri"/>
        <family val="2"/>
      </rPr>
      <t>3/2</t>
    </r>
    <r>
      <rPr>
        <sz val="11"/>
        <color theme="1"/>
        <rFont val="Calibri"/>
        <family val="2"/>
      </rPr>
      <t xml:space="preserve"> </t>
    </r>
  </si>
  <si>
    <r>
      <rPr>
        <sz val="11"/>
        <color indexed="8"/>
        <rFont val="Symbol"/>
        <family val="1"/>
      </rPr>
      <t>L</t>
    </r>
    <r>
      <rPr>
        <vertAlign val="subscript"/>
        <sz val="11"/>
        <color indexed="8"/>
        <rFont val="Calibri"/>
        <family val="2"/>
      </rPr>
      <t>CaCl2</t>
    </r>
    <r>
      <rPr>
        <sz val="11"/>
        <color theme="1"/>
        <rFont val="Calibri"/>
        <family val="2"/>
      </rPr>
      <t xml:space="preserve"> Sm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/mol</t>
    </r>
  </si>
  <si>
    <r>
      <rPr>
        <sz val="11"/>
        <color indexed="8"/>
        <rFont val="Symbol"/>
        <family val="1"/>
      </rPr>
      <t>k</t>
    </r>
    <r>
      <rPr>
        <vertAlign val="subscript"/>
        <sz val="11"/>
        <color indexed="8"/>
        <rFont val="Calibri"/>
        <family val="2"/>
      </rPr>
      <t>CaCl2</t>
    </r>
    <r>
      <rPr>
        <sz val="11"/>
        <color theme="1"/>
        <rFont val="Calibri"/>
        <family val="2"/>
      </rPr>
      <t>, S/m</t>
    </r>
  </si>
  <si>
    <r>
      <t>pH 11,91-nél a hidroxilionok koncentrációja, mol/dm</t>
    </r>
    <r>
      <rPr>
        <vertAlign val="superscript"/>
        <sz val="11"/>
        <color indexed="8"/>
        <rFont val="Calibri"/>
        <family val="2"/>
      </rPr>
      <t>3</t>
    </r>
  </si>
  <si>
    <t>A piperidin disszociációs állandója</t>
  </si>
  <si>
    <r>
      <t>0,005 mol/dm3 koncentrácójú piperidin disszociációjából származó hidroxilionok koncentrációja, mol/dm</t>
    </r>
    <r>
      <rPr>
        <vertAlign val="superscript"/>
        <sz val="11"/>
        <color indexed="8"/>
        <rFont val="Calibri"/>
        <family val="2"/>
      </rPr>
      <t>3</t>
    </r>
  </si>
  <si>
    <r>
      <t>A higított oldat moláris fajlagos vezetése, Sm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/mol</t>
    </r>
  </si>
  <si>
    <r>
      <t>L</t>
    </r>
    <r>
      <rPr>
        <vertAlign val="subscript"/>
        <sz val="11"/>
        <color indexed="8"/>
        <rFont val="Calibri"/>
        <family val="2"/>
      </rPr>
      <t>Fe(OH)2</t>
    </r>
    <r>
      <rPr>
        <sz val="11"/>
        <color indexed="8"/>
        <rFont val="Calibri"/>
        <family val="2"/>
      </rPr>
      <t xml:space="preserve"> = Fe</t>
    </r>
    <r>
      <rPr>
        <vertAlign val="superscript"/>
        <sz val="11"/>
        <color indexed="8"/>
        <rFont val="Calibri"/>
        <family val="2"/>
      </rPr>
      <t>2+</t>
    </r>
    <r>
      <rPr>
        <sz val="11"/>
        <color indexed="8"/>
        <rFont val="Calibri"/>
        <family val="2"/>
      </rPr>
      <t xml:space="preserve"> * (OH</t>
    </r>
    <r>
      <rPr>
        <vertAlign val="superscript"/>
        <sz val="11"/>
        <color indexed="8"/>
        <rFont val="Calibri"/>
        <family val="2"/>
      </rPr>
      <t>-</t>
    </r>
    <r>
      <rPr>
        <sz val="11"/>
        <color indexed="8"/>
        <rFont val="Calibri"/>
        <family val="2"/>
      </rPr>
      <t>)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= c</t>
    </r>
    <r>
      <rPr>
        <vertAlign val="subscript"/>
        <sz val="11"/>
        <color indexed="8"/>
        <rFont val="Calibri"/>
        <family val="2"/>
      </rPr>
      <t>Fe(OH)2</t>
    </r>
    <r>
      <rPr>
        <sz val="11"/>
        <color indexed="8"/>
        <rFont val="Calibri"/>
        <family val="2"/>
      </rPr>
      <t xml:space="preserve"> * (2c</t>
    </r>
    <r>
      <rPr>
        <vertAlign val="subscript"/>
        <sz val="11"/>
        <color indexed="8"/>
        <rFont val="Calibri"/>
        <family val="2"/>
      </rPr>
      <t>Fe(OH)2</t>
    </r>
    <r>
      <rPr>
        <sz val="11"/>
        <color indexed="8"/>
        <rFont val="Calibri"/>
        <family val="2"/>
      </rPr>
      <t>)</t>
    </r>
    <r>
      <rPr>
        <vertAlign val="superscript"/>
        <sz val="11"/>
        <color indexed="8"/>
        <rFont val="Calibri"/>
        <family val="2"/>
      </rPr>
      <t>2</t>
    </r>
  </si>
  <si>
    <r>
      <rPr>
        <sz val="11"/>
        <color indexed="8"/>
        <rFont val="Symbol"/>
        <family val="1"/>
      </rPr>
      <t>k</t>
    </r>
    <r>
      <rPr>
        <vertAlign val="subscript"/>
        <sz val="11"/>
        <color indexed="8"/>
        <rFont val="Calibri"/>
        <family val="2"/>
      </rPr>
      <t>H+</t>
    </r>
    <r>
      <rPr>
        <sz val="11"/>
        <color indexed="8"/>
        <rFont val="Calibri"/>
        <family val="2"/>
      </rPr>
      <t>, S/m</t>
    </r>
  </si>
  <si>
    <r>
      <rPr>
        <sz val="11"/>
        <color indexed="8"/>
        <rFont val="Symbol"/>
        <family val="1"/>
      </rPr>
      <t>k</t>
    </r>
    <r>
      <rPr>
        <vertAlign val="subscript"/>
        <sz val="11"/>
        <color indexed="8"/>
        <rFont val="Symbol"/>
        <family val="1"/>
      </rPr>
      <t>N</t>
    </r>
    <r>
      <rPr>
        <vertAlign val="subscript"/>
        <sz val="11"/>
        <color indexed="8"/>
        <rFont val="Calibri"/>
        <family val="2"/>
      </rPr>
      <t>a+</t>
    </r>
    <r>
      <rPr>
        <sz val="11"/>
        <color indexed="8"/>
        <rFont val="Calibri"/>
        <family val="2"/>
      </rPr>
      <t>, S/m</t>
    </r>
  </si>
  <si>
    <r>
      <rPr>
        <sz val="11"/>
        <color indexed="8"/>
        <rFont val="Symbol"/>
        <family val="1"/>
      </rPr>
      <t>k</t>
    </r>
    <r>
      <rPr>
        <vertAlign val="subscript"/>
        <sz val="11"/>
        <color indexed="8"/>
        <rFont val="Calibri"/>
        <family val="2"/>
      </rPr>
      <t>Cl-</t>
    </r>
    <r>
      <rPr>
        <sz val="11"/>
        <color indexed="8"/>
        <rFont val="Calibri"/>
        <family val="2"/>
      </rPr>
      <t>, S/m</t>
    </r>
  </si>
  <si>
    <r>
      <t>k</t>
    </r>
    <r>
      <rPr>
        <sz val="11"/>
        <color theme="1"/>
        <rFont val="Calibri"/>
        <family val="2"/>
      </rPr>
      <t>, S/m</t>
    </r>
  </si>
  <si>
    <t>G13</t>
  </si>
  <si>
    <r>
      <t>Ag</t>
    </r>
    <r>
      <rPr>
        <vertAlign val="superscript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, mol/dm</t>
    </r>
    <r>
      <rPr>
        <vertAlign val="superscript"/>
        <sz val="11"/>
        <color indexed="8"/>
        <rFont val="Calibri"/>
        <family val="2"/>
      </rPr>
      <t>3</t>
    </r>
  </si>
  <si>
    <r>
      <t>H</t>
    </r>
    <r>
      <rPr>
        <vertAlign val="superscript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, mol/dm</t>
    </r>
    <r>
      <rPr>
        <vertAlign val="superscript"/>
        <sz val="11"/>
        <color indexed="8"/>
        <rFont val="Calibri"/>
        <family val="2"/>
      </rPr>
      <t>3</t>
    </r>
  </si>
  <si>
    <r>
      <rPr>
        <sz val="11"/>
        <color indexed="8"/>
        <rFont val="Symbol"/>
        <family val="1"/>
      </rPr>
      <t>e</t>
    </r>
    <r>
      <rPr>
        <vertAlign val="superscript"/>
        <sz val="11"/>
        <color indexed="8"/>
        <rFont val="Calibri"/>
        <family val="2"/>
      </rPr>
      <t>0</t>
    </r>
    <r>
      <rPr>
        <vertAlign val="subscript"/>
        <sz val="11"/>
        <color indexed="8"/>
        <rFont val="Calibri"/>
        <family val="2"/>
      </rPr>
      <t>Ag/Ag+</t>
    </r>
    <r>
      <rPr>
        <sz val="11"/>
        <color theme="1"/>
        <rFont val="Calibri"/>
        <family val="2"/>
      </rPr>
      <t>, V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</si>
</sst>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00000"/>
    <numFmt numFmtId="169" formatCode="0.0000000"/>
    <numFmt numFmtId="170" formatCode="0.00000000"/>
    <numFmt numFmtId="171" formatCode="0.0000"/>
    <numFmt numFmtId="172" formatCode="0.000"/>
    <numFmt numFmtId="173" formatCode="0.00000"/>
    <numFmt numFmtId="174" formatCode="[$-40E]yyyy\.\ mmmm\ d\."/>
    <numFmt numFmtId="175" formatCode="0.0"/>
    <numFmt numFmtId="176" formatCode="0.000E+00"/>
    <numFmt numFmtId="177" formatCode="0.0E+00"/>
    <numFmt numFmtId="178" formatCode="0.0000E+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vertAlign val="superscript"/>
      <sz val="11"/>
      <color indexed="8"/>
      <name val="Symbol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78">
      <selection activeCell="A92" sqref="A92"/>
    </sheetView>
  </sheetViews>
  <sheetFormatPr defaultColWidth="9.140625" defaultRowHeight="15"/>
  <cols>
    <col min="3" max="3" width="16.140625" style="0" bestFit="1" customWidth="1"/>
    <col min="4" max="4" width="10.421875" style="0" bestFit="1" customWidth="1"/>
    <col min="5" max="6" width="12.00390625" style="0" bestFit="1" customWidth="1"/>
  </cols>
  <sheetData>
    <row r="1" ht="14.25">
      <c r="A1" t="s">
        <v>7</v>
      </c>
    </row>
    <row r="2" spans="1:10" ht="15">
      <c r="A2" t="s">
        <v>0</v>
      </c>
      <c r="B2" s="1">
        <v>0.4608</v>
      </c>
      <c r="D2" s="1">
        <v>0.4621</v>
      </c>
      <c r="F2" s="1">
        <v>0.4632</v>
      </c>
      <c r="H2" s="1">
        <v>0.4642</v>
      </c>
      <c r="J2" s="1">
        <v>0.465</v>
      </c>
    </row>
    <row r="3" spans="1:10" ht="15.75">
      <c r="A3" t="s">
        <v>1</v>
      </c>
      <c r="B3">
        <v>10</v>
      </c>
      <c r="D3">
        <v>15</v>
      </c>
      <c r="F3">
        <v>20</v>
      </c>
      <c r="H3">
        <v>25</v>
      </c>
      <c r="J3">
        <v>30</v>
      </c>
    </row>
    <row r="4" spans="1:6" ht="15.75">
      <c r="A4" t="s">
        <v>2</v>
      </c>
      <c r="F4">
        <f>+F3+273.16</f>
        <v>293.16</v>
      </c>
    </row>
    <row r="5" spans="1:6" ht="15.75">
      <c r="A5" t="s">
        <v>3</v>
      </c>
      <c r="F5">
        <f>(J2-B2)/(J3-B3)</f>
        <v>0.00021000000000000185</v>
      </c>
    </row>
    <row r="6" spans="1:6" ht="15">
      <c r="A6" s="6" t="s">
        <v>5</v>
      </c>
      <c r="F6" s="5">
        <f>-1*96485*F2/1000</f>
        <v>-44.691852</v>
      </c>
    </row>
    <row r="7" spans="1:6" ht="16.5">
      <c r="A7" t="s">
        <v>4</v>
      </c>
      <c r="F7" s="5">
        <f>1*96485*F5</f>
        <v>20.26185000000018</v>
      </c>
    </row>
    <row r="8" spans="1:6" ht="15">
      <c r="A8" s="6" t="s">
        <v>6</v>
      </c>
      <c r="F8" s="5">
        <f>F6+F4*F7/1000</f>
        <v>-38.75188805399994</v>
      </c>
    </row>
    <row r="9" spans="1:6" ht="14.25">
      <c r="A9" s="6" t="s">
        <v>8</v>
      </c>
      <c r="F9" s="4">
        <f>-F4*F7/F6/1000</f>
        <v>0.13290932642487166</v>
      </c>
    </row>
    <row r="11" spans="1:4" ht="14.25">
      <c r="A11" t="s">
        <v>9</v>
      </c>
      <c r="D11" s="2"/>
    </row>
    <row r="12" spans="1:3" ht="15.75">
      <c r="A12" t="s">
        <v>3</v>
      </c>
      <c r="C12" s="7">
        <v>-0.00043</v>
      </c>
    </row>
    <row r="13" spans="1:3" ht="14.25">
      <c r="A13" t="s">
        <v>0</v>
      </c>
      <c r="C13" s="3">
        <v>1.0934</v>
      </c>
    </row>
    <row r="14" spans="1:3" ht="15">
      <c r="A14" s="6" t="s">
        <v>5</v>
      </c>
      <c r="C14" s="8">
        <f>-2*96485*C13/1000</f>
        <v>-210.99339799999998</v>
      </c>
    </row>
    <row r="15" spans="1:3" ht="16.5">
      <c r="A15" t="s">
        <v>4</v>
      </c>
      <c r="C15" s="8">
        <f>2*96485*C12</f>
        <v>-82.9771</v>
      </c>
    </row>
    <row r="16" spans="1:3" ht="15">
      <c r="A16" s="6" t="s">
        <v>6</v>
      </c>
      <c r="C16" s="8">
        <f>C14+C15*(273.15+15)/1000</f>
        <v>-234.90324936499997</v>
      </c>
    </row>
    <row r="18" ht="14.25">
      <c r="A18" t="s">
        <v>10</v>
      </c>
    </row>
    <row r="19" spans="1:3" ht="15.75">
      <c r="A19" t="s">
        <v>20</v>
      </c>
      <c r="C19">
        <f>0.909-0.0003*(455-470)</f>
        <v>0.9135</v>
      </c>
    </row>
    <row r="20" spans="1:3" ht="15">
      <c r="A20" s="6" t="s">
        <v>5</v>
      </c>
      <c r="C20" s="8">
        <f>-1*96485*C19/1000</f>
        <v>-88.1390475</v>
      </c>
    </row>
    <row r="21" spans="1:3" ht="16.5">
      <c r="A21" t="s">
        <v>4</v>
      </c>
      <c r="C21" s="8">
        <f>1*96485*-0.0003</f>
        <v>-28.9455</v>
      </c>
    </row>
    <row r="22" spans="1:3" ht="15">
      <c r="A22" s="6" t="s">
        <v>6</v>
      </c>
      <c r="C22" s="8">
        <f>C20+C21*(273.15+455)/1000</f>
        <v>-109.215713325</v>
      </c>
    </row>
    <row r="24" ht="14.25">
      <c r="A24" t="s">
        <v>11</v>
      </c>
    </row>
    <row r="25" spans="1:5" ht="15">
      <c r="A25" t="s">
        <v>57</v>
      </c>
      <c r="C25" s="3">
        <f>0.345+0.05916/2*LOG(0.01*0.41)</f>
        <v>0.27438614648176973</v>
      </c>
      <c r="E25" s="3"/>
    </row>
    <row r="26" spans="1:4" ht="14.25">
      <c r="A26" t="s">
        <v>58</v>
      </c>
      <c r="C26" s="3"/>
      <c r="D26" s="8">
        <f>ABS(0.05916/2*LOG(0.41)*1000)</f>
        <v>11.453853518230224</v>
      </c>
    </row>
    <row r="28" ht="14.25">
      <c r="A28" t="s">
        <v>12</v>
      </c>
    </row>
    <row r="29" spans="1:3" ht="15">
      <c r="A29" t="s">
        <v>56</v>
      </c>
      <c r="C29" s="3">
        <f>-0.1364+0.05916/2*LOG(0.01)</f>
        <v>-0.19555999999999998</v>
      </c>
    </row>
    <row r="30" spans="1:3" ht="15">
      <c r="A30" t="s">
        <v>55</v>
      </c>
      <c r="C30" s="3">
        <f>-0.1263+0.05916/2*LOG(0.1)</f>
        <v>-0.15588</v>
      </c>
    </row>
    <row r="31" spans="1:3" ht="14.25">
      <c r="A31" t="s">
        <v>0</v>
      </c>
      <c r="C31" s="3">
        <f>C30-C29</f>
        <v>0.03967999999999999</v>
      </c>
    </row>
    <row r="32" spans="1:5" ht="16.5">
      <c r="A32" t="s">
        <v>59</v>
      </c>
      <c r="C32" s="3"/>
      <c r="E32">
        <f>-0.1263-(-0.1364)</f>
        <v>0.010099999999999998</v>
      </c>
    </row>
    <row r="33" spans="1:3" ht="15">
      <c r="A33" t="s">
        <v>60</v>
      </c>
      <c r="C33" s="4">
        <f>10^(E32/0.05916*2)</f>
        <v>2.1950626676969045</v>
      </c>
    </row>
    <row r="35" ht="14.25">
      <c r="A35" t="s">
        <v>13</v>
      </c>
    </row>
    <row r="36" spans="1:3" ht="16.5">
      <c r="A36" t="s">
        <v>14</v>
      </c>
      <c r="C36" s="3">
        <f>0.0464/0.05916</f>
        <v>0.7843137254901961</v>
      </c>
    </row>
    <row r="37" spans="1:3" ht="16.5">
      <c r="A37" t="s">
        <v>16</v>
      </c>
      <c r="C37" s="4">
        <f>10^(C36)</f>
        <v>6.08574464330669</v>
      </c>
    </row>
    <row r="38" spans="1:3" ht="16.5">
      <c r="A38" t="s">
        <v>15</v>
      </c>
      <c r="C38" s="5">
        <f>C37*C37</f>
        <v>37.03628786353607</v>
      </c>
    </row>
    <row r="39" spans="1:5" ht="16.5">
      <c r="A39" t="s">
        <v>17</v>
      </c>
      <c r="E39" s="5">
        <f>C38*0.1</f>
        <v>3.703628786353607</v>
      </c>
    </row>
    <row r="40" spans="1:5" ht="16.5">
      <c r="A40" t="s">
        <v>18</v>
      </c>
      <c r="E40" s="5">
        <f>0.1/C38*1000</f>
        <v>2.7000546158529732</v>
      </c>
    </row>
    <row r="42" ht="14.25">
      <c r="A42" t="s">
        <v>19</v>
      </c>
    </row>
    <row r="43" spans="1:3" ht="16.5">
      <c r="A43" t="s">
        <v>61</v>
      </c>
      <c r="C43">
        <v>0.7986</v>
      </c>
    </row>
    <row r="44" spans="1:3" ht="16.5">
      <c r="A44" t="s">
        <v>62</v>
      </c>
      <c r="C44">
        <v>0.2682</v>
      </c>
    </row>
    <row r="45" spans="1:4" ht="15">
      <c r="A45" t="s">
        <v>21</v>
      </c>
      <c r="D45">
        <f>C44-C43</f>
        <v>-0.5304</v>
      </c>
    </row>
    <row r="46" spans="1:3" ht="15">
      <c r="A46" t="s">
        <v>22</v>
      </c>
      <c r="C46" s="7">
        <f>10^(D45*2/0.05916)</f>
        <v>1.17210229753348E-18</v>
      </c>
    </row>
    <row r="48" ht="14.25">
      <c r="A48" t="s">
        <v>23</v>
      </c>
    </row>
    <row r="49" spans="1:3" ht="15.75">
      <c r="A49" t="s">
        <v>24</v>
      </c>
      <c r="C49">
        <v>0.2006</v>
      </c>
    </row>
    <row r="50" spans="1:3" ht="14.25">
      <c r="A50" t="s">
        <v>0</v>
      </c>
      <c r="C50">
        <v>0.29</v>
      </c>
    </row>
    <row r="51" spans="1:4" ht="17.25">
      <c r="A51" t="s">
        <v>26</v>
      </c>
      <c r="D51">
        <f>C49-C50</f>
        <v>-0.08939999999999998</v>
      </c>
    </row>
    <row r="52" spans="1:3" ht="15.75">
      <c r="A52" t="s">
        <v>27</v>
      </c>
      <c r="C52">
        <f>10^(D51*2/0.05916)</f>
        <v>0.0009499213018493604</v>
      </c>
    </row>
    <row r="53" spans="1:3" ht="15.75">
      <c r="A53" t="s">
        <v>76</v>
      </c>
      <c r="C53">
        <v>0.1</v>
      </c>
    </row>
    <row r="54" spans="1:3" ht="15.75">
      <c r="A54" t="s">
        <v>75</v>
      </c>
      <c r="C54">
        <v>0.2</v>
      </c>
    </row>
    <row r="55" spans="1:3" ht="14.25">
      <c r="A55" s="9" t="s">
        <v>25</v>
      </c>
      <c r="C55" s="4">
        <f>(C52/C53/C54^2)^(1/3)</f>
        <v>0.6192640638928985</v>
      </c>
    </row>
    <row r="57" ht="14.25">
      <c r="A57" t="s">
        <v>28</v>
      </c>
    </row>
    <row r="58" spans="1:4" ht="15">
      <c r="A58" t="s">
        <v>63</v>
      </c>
      <c r="D58">
        <v>0.1</v>
      </c>
    </row>
    <row r="59" spans="1:3" ht="15">
      <c r="A59" t="s">
        <v>64</v>
      </c>
      <c r="C59">
        <v>0.2438</v>
      </c>
    </row>
    <row r="60" spans="1:3" ht="15">
      <c r="A60" t="s">
        <v>65</v>
      </c>
      <c r="C60">
        <f>C59-D58</f>
        <v>0.14379999999999998</v>
      </c>
    </row>
    <row r="61" spans="1:3" ht="16.5">
      <c r="A61" t="s">
        <v>66</v>
      </c>
      <c r="C61">
        <v>0.15</v>
      </c>
    </row>
    <row r="62" spans="1:4" ht="15.75">
      <c r="A62" t="s">
        <v>29</v>
      </c>
      <c r="D62">
        <f>C60-C61</f>
        <v>-0.006200000000000011</v>
      </c>
    </row>
    <row r="63" spans="1:3" ht="15.75">
      <c r="A63" t="s">
        <v>30</v>
      </c>
      <c r="C63" s="4">
        <f>10^(D62*2/0.05916)</f>
        <v>0.6171616311260991</v>
      </c>
    </row>
    <row r="64" spans="1:3" ht="15.75">
      <c r="A64" t="s">
        <v>31</v>
      </c>
      <c r="C64" s="4">
        <f>1/(1+1/C63)</f>
        <v>0.3816326205416727</v>
      </c>
    </row>
    <row r="66" ht="14.25">
      <c r="A66" t="s">
        <v>32</v>
      </c>
    </row>
    <row r="67" spans="1:3" ht="16.5">
      <c r="A67" t="s">
        <v>67</v>
      </c>
      <c r="C67">
        <v>-0.1263</v>
      </c>
    </row>
    <row r="68" spans="1:3" ht="16.5">
      <c r="A68" t="s">
        <v>68</v>
      </c>
      <c r="C68">
        <v>-0.356</v>
      </c>
    </row>
    <row r="69" spans="1:4" ht="15">
      <c r="A69" t="s">
        <v>33</v>
      </c>
      <c r="D69">
        <f>C68-C67</f>
        <v>-0.2297</v>
      </c>
    </row>
    <row r="70" spans="1:3" ht="15">
      <c r="A70" t="s">
        <v>34</v>
      </c>
      <c r="C70" s="7">
        <f>10^(D69*2/0.05916)</f>
        <v>1.7163979419725555E-08</v>
      </c>
    </row>
    <row r="72" ht="14.25">
      <c r="A72" t="s">
        <v>35</v>
      </c>
    </row>
    <row r="73" spans="1:3" ht="16.5">
      <c r="A73" t="s">
        <v>72</v>
      </c>
      <c r="C73">
        <v>0.2223</v>
      </c>
    </row>
    <row r="74" spans="1:3" ht="14.25">
      <c r="A74" t="s">
        <v>0</v>
      </c>
      <c r="C74">
        <v>0.3535</v>
      </c>
    </row>
    <row r="75" spans="1:4" ht="17.25">
      <c r="A75" t="s">
        <v>37</v>
      </c>
      <c r="D75">
        <f>C73-C74</f>
        <v>-0.13119999999999998</v>
      </c>
    </row>
    <row r="76" spans="1:3" ht="15.75">
      <c r="A76" t="s">
        <v>36</v>
      </c>
      <c r="C76" s="10">
        <f>10^(D75/0.05916)</f>
        <v>0.006057387094327493</v>
      </c>
    </row>
    <row r="77" spans="1:3" ht="15.75">
      <c r="A77" t="s">
        <v>74</v>
      </c>
      <c r="C77">
        <v>0.1</v>
      </c>
    </row>
    <row r="78" spans="1:3" ht="15.75">
      <c r="A78" t="s">
        <v>73</v>
      </c>
      <c r="C78">
        <v>0.1</v>
      </c>
    </row>
    <row r="79" spans="1:3" ht="14.25">
      <c r="A79" s="9" t="s">
        <v>25</v>
      </c>
      <c r="C79" s="4">
        <f>(C76/C77/C78)^(1/2)</f>
        <v>0.778292174850004</v>
      </c>
    </row>
    <row r="81" ht="14.25">
      <c r="A81" t="s">
        <v>38</v>
      </c>
    </row>
    <row r="82" ht="15">
      <c r="A82" t="s">
        <v>69</v>
      </c>
    </row>
    <row r="83" spans="1:3" ht="16.5">
      <c r="A83" t="s">
        <v>70</v>
      </c>
      <c r="C83">
        <v>1.61</v>
      </c>
    </row>
    <row r="84" spans="1:3" ht="16.5">
      <c r="A84" t="s">
        <v>71</v>
      </c>
      <c r="C84">
        <v>1.51</v>
      </c>
    </row>
    <row r="85" spans="1:4" ht="15.75">
      <c r="A85" t="s">
        <v>39</v>
      </c>
      <c r="D85">
        <f>C83-C84</f>
        <v>0.10000000000000009</v>
      </c>
    </row>
    <row r="86" spans="1:4" ht="15.75">
      <c r="A86" t="s">
        <v>40</v>
      </c>
      <c r="D86" s="8">
        <f>10^(D85/0.05916)</f>
        <v>49.0152593514316</v>
      </c>
    </row>
    <row r="87" ht="15.75">
      <c r="A87" t="s">
        <v>41</v>
      </c>
    </row>
    <row r="88" spans="1:3" ht="14.25">
      <c r="A88" t="s">
        <v>42</v>
      </c>
      <c r="C88" s="8">
        <f>D86</f>
        <v>49.0152593514316</v>
      </c>
    </row>
    <row r="89" spans="1:3" ht="14.25">
      <c r="A89" t="s">
        <v>43</v>
      </c>
      <c r="C89" s="5">
        <f>SQRT(C88)</f>
        <v>7.001089868829824</v>
      </c>
    </row>
    <row r="90" spans="1:3" ht="14.25">
      <c r="A90" t="s">
        <v>44</v>
      </c>
      <c r="C90" s="5">
        <f>(C89-1)/(C89+1)</f>
        <v>0.7500340537616653</v>
      </c>
    </row>
    <row r="92" ht="14.25">
      <c r="A92" t="s">
        <v>95</v>
      </c>
    </row>
    <row r="93" spans="1:3" ht="15.75">
      <c r="A93" t="s">
        <v>96</v>
      </c>
      <c r="C93" s="10">
        <f>(50*0.01-25*0.012)/75</f>
        <v>0.002666666666666667</v>
      </c>
    </row>
    <row r="94" spans="1:3" ht="15.75">
      <c r="A94" t="s">
        <v>97</v>
      </c>
      <c r="C94">
        <f>0.012/3</f>
        <v>0.004</v>
      </c>
    </row>
    <row r="95" spans="1:3" ht="16.5">
      <c r="A95" t="s">
        <v>98</v>
      </c>
      <c r="C95">
        <v>0.7996</v>
      </c>
    </row>
    <row r="96" spans="1:3" ht="14.25">
      <c r="A96" t="s">
        <v>0</v>
      </c>
      <c r="C96" s="3">
        <f>C95+0.05916*LOG(C93*0.96)-0.05916*LOG(C94*0.96)</f>
        <v>0.7891824411142658</v>
      </c>
    </row>
    <row r="98" ht="14.25">
      <c r="A98" t="s">
        <v>45</v>
      </c>
    </row>
    <row r="99" spans="1:3" ht="15.75">
      <c r="A99" t="s">
        <v>74</v>
      </c>
      <c r="C99">
        <f>0.2*0.09/0.3</f>
        <v>0.06</v>
      </c>
    </row>
    <row r="100" spans="1:3" ht="15.75">
      <c r="A100" t="s">
        <v>77</v>
      </c>
      <c r="C100">
        <f>0.1*0.06/0.3</f>
        <v>0.02</v>
      </c>
    </row>
    <row r="101" spans="1:3" ht="15.75">
      <c r="A101" t="s">
        <v>73</v>
      </c>
      <c r="C101">
        <f>(0.2*0.09+0.1*0.06)/0.3</f>
        <v>0.08</v>
      </c>
    </row>
    <row r="102" spans="1:3" ht="15">
      <c r="A102" s="11" t="s">
        <v>91</v>
      </c>
      <c r="C102" s="5">
        <f>C99*1000*0.03498</f>
        <v>2.0987999999999998</v>
      </c>
    </row>
    <row r="103" spans="1:3" ht="15">
      <c r="A103" s="11" t="s">
        <v>92</v>
      </c>
      <c r="C103" s="5">
        <f>C100*1000*0.00501</f>
        <v>0.1002</v>
      </c>
    </row>
    <row r="104" spans="1:3" ht="15">
      <c r="A104" s="11" t="s">
        <v>93</v>
      </c>
      <c r="C104" s="5">
        <f>C101*1000*0.007635</f>
        <v>0.6108</v>
      </c>
    </row>
    <row r="105" spans="1:3" ht="14.25">
      <c r="A105" s="9" t="s">
        <v>94</v>
      </c>
      <c r="C105" s="5">
        <f>C102+C103+C104</f>
        <v>2.8098</v>
      </c>
    </row>
    <row r="107" ht="14.25">
      <c r="A107" t="s">
        <v>46</v>
      </c>
    </row>
    <row r="108" spans="1:5" ht="16.5">
      <c r="A108" t="s">
        <v>80</v>
      </c>
      <c r="C108">
        <v>0</v>
      </c>
      <c r="D108">
        <v>0.01</v>
      </c>
      <c r="E108" s="7">
        <v>0.0045</v>
      </c>
    </row>
    <row r="109" spans="1:5" ht="15.75">
      <c r="A109" t="s">
        <v>83</v>
      </c>
      <c r="C109">
        <f>SQRT(C108)</f>
        <v>0</v>
      </c>
      <c r="D109">
        <f>SQRT(D108)</f>
        <v>0.1</v>
      </c>
      <c r="E109" s="3">
        <f>SQRT(E108)</f>
        <v>0.0670820393249937</v>
      </c>
    </row>
    <row r="110" spans="1:5" ht="16.5">
      <c r="A110" t="s">
        <v>81</v>
      </c>
      <c r="C110" s="12">
        <v>0.00507</v>
      </c>
      <c r="D110" s="12">
        <v>0.0042</v>
      </c>
      <c r="E110" s="10">
        <f>C110+(C110-D110)/(C109-D109)*E109</f>
        <v>0.004486386257872555</v>
      </c>
    </row>
    <row r="111" spans="1:8" ht="16.5">
      <c r="A111" t="s">
        <v>82</v>
      </c>
      <c r="C111" s="12">
        <v>0.0066</v>
      </c>
      <c r="D111" s="12">
        <v>0.00615</v>
      </c>
      <c r="E111" s="10">
        <f>C111+(C111-D111)/(C109-D109)*E109</f>
        <v>0.006298130823037529</v>
      </c>
      <c r="H111" s="4"/>
    </row>
    <row r="112" spans="1:8" ht="16.5">
      <c r="A112" t="s">
        <v>84</v>
      </c>
      <c r="E112" s="12">
        <f>2*E110+2*E111</f>
        <v>0.02156903416182017</v>
      </c>
      <c r="H112" s="4"/>
    </row>
    <row r="113" spans="1:8" ht="15">
      <c r="A113" t="s">
        <v>85</v>
      </c>
      <c r="E113" s="3">
        <f>E112*E108*1000</f>
        <v>0.09706065372819075</v>
      </c>
      <c r="G113" s="7"/>
      <c r="H113" s="3"/>
    </row>
    <row r="116" ht="14.25">
      <c r="A116" t="s">
        <v>47</v>
      </c>
    </row>
    <row r="117" spans="1:5" ht="15.75">
      <c r="A117" t="s">
        <v>86</v>
      </c>
      <c r="E117" s="12">
        <f>10^(-14+11.91)</f>
        <v>0.00812830516164099</v>
      </c>
    </row>
    <row r="118" spans="1:5" ht="14.25">
      <c r="A118" t="s">
        <v>87</v>
      </c>
      <c r="E118" s="7">
        <f>E117^2/(0.05-E117)/55.56</f>
        <v>2.8399926937716054E-05</v>
      </c>
    </row>
    <row r="119" spans="1:9" ht="15.75">
      <c r="A119" t="s">
        <v>88</v>
      </c>
      <c r="I119">
        <f>(-E118*55.56+SQRT(E118^2*55.56^2+4*E118*55.56*0.005))/2</f>
        <v>0.0021285732530535407</v>
      </c>
    </row>
    <row r="120" spans="1:5" ht="15.75">
      <c r="A120" t="s">
        <v>89</v>
      </c>
      <c r="E120" s="10">
        <f>0.00353*I119/E117</f>
        <v>0.0009244071714652574</v>
      </c>
    </row>
    <row r="123" ht="14.25">
      <c r="A123" t="s">
        <v>48</v>
      </c>
    </row>
    <row r="124" spans="1:3" ht="15">
      <c r="A124" t="s">
        <v>49</v>
      </c>
      <c r="C124">
        <f>0.3/0.012</f>
        <v>25</v>
      </c>
    </row>
    <row r="125" spans="1:3" ht="14.25">
      <c r="A125" t="s">
        <v>50</v>
      </c>
      <c r="C125" s="7">
        <v>2.13E-05</v>
      </c>
    </row>
    <row r="126" spans="1:3" ht="14.25">
      <c r="A126" t="s">
        <v>51</v>
      </c>
      <c r="C126" s="7">
        <v>5E-06</v>
      </c>
    </row>
    <row r="127" spans="1:3" ht="15">
      <c r="A127" t="s">
        <v>52</v>
      </c>
      <c r="C127" s="7">
        <f>C125-C126</f>
        <v>1.63E-05</v>
      </c>
    </row>
    <row r="128" spans="1:3" ht="15">
      <c r="A128" t="s">
        <v>53</v>
      </c>
      <c r="C128" s="7">
        <f>C124*C127</f>
        <v>0.0004075</v>
      </c>
    </row>
    <row r="129" spans="1:3" ht="18">
      <c r="A129" s="11" t="s">
        <v>78</v>
      </c>
      <c r="C129">
        <f>2*0.00535+2*0.01983</f>
        <v>0.05036</v>
      </c>
    </row>
    <row r="130" spans="1:3" ht="16.5">
      <c r="A130" s="6" t="s">
        <v>79</v>
      </c>
      <c r="C130" s="7">
        <f>C128/C129*0.001</f>
        <v>8.091739475774425E-06</v>
      </c>
    </row>
    <row r="131" ht="16.5">
      <c r="A131" s="6" t="s">
        <v>90</v>
      </c>
    </row>
    <row r="132" spans="1:3" ht="15">
      <c r="A132" s="6" t="s">
        <v>54</v>
      </c>
      <c r="C132" s="7">
        <f>4*C130^3</f>
        <v>2.1192669543765695E-15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Kémiai Kutatóközpont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Vidóczy Tamás</dc:creator>
  <cp:keywords/>
  <dc:description/>
  <cp:lastModifiedBy>Vidóczy Tamás</cp:lastModifiedBy>
  <cp:lastPrinted>2009-11-16T17:07:31Z</cp:lastPrinted>
  <dcterms:created xsi:type="dcterms:W3CDTF">2009-10-29T09:06:44Z</dcterms:created>
  <dcterms:modified xsi:type="dcterms:W3CDTF">2010-03-26T14:08:31Z</dcterms:modified>
  <cp:category/>
  <cp:version/>
  <cp:contentType/>
  <cp:contentStatus/>
</cp:coreProperties>
</file>